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isk 3\NPS\Research\Weaponeering\Short course materials\Software\Tools\Used most\"/>
    </mc:Choice>
  </mc:AlternateContent>
  <xr:revisionPtr revIDLastSave="0" documentId="13_ncr:1_{876BDEB4-C77A-4F8B-A6A3-050038BB6B1F}" xr6:coauthVersionLast="47" xr6:coauthVersionMax="47" xr10:uidLastSave="{00000000-0000-0000-0000-000000000000}"/>
  <bookViews>
    <workbookView xWindow="38280" yWindow="-120" windowWidth="38640" windowHeight="21120" activeTab="3" xr2:uid="{BB50879E-1BBA-43A8-8B18-35A8D54E0ABA}"/>
  </bookViews>
  <sheets>
    <sheet name="NIRS frame" sheetId="1" r:id="rId1"/>
    <sheet name="ENU frame" sheetId="3" r:id="rId2"/>
    <sheet name="Final ENU frame" sheetId="4" r:id="rId3"/>
    <sheet name="IFDAM" sheetId="2" r:id="rId4"/>
  </sheets>
  <definedNames>
    <definedName name="AZ" localSheetId="2">'Final ENU frame'!$D$6</definedName>
    <definedName name="AZ">'ENU frame'!$D$6</definedName>
    <definedName name="AZN">'NIRS frame'!$N$5</definedName>
    <definedName name="lambda" localSheetId="2">'Final ENU frame'!$D$4</definedName>
    <definedName name="lambda">'ENU frame'!$D$4</definedName>
    <definedName name="lambdaN">'NIRS frame'!$N$3</definedName>
    <definedName name="theta" localSheetId="2">'Final ENU frame'!$D$7</definedName>
    <definedName name="theta">'ENU frame'!$D$7</definedName>
    <definedName name="thetaN">'NIRS frame'!$N$6</definedName>
    <definedName name="v0x">'Final ENU frame'!$C$13</definedName>
    <definedName name="v0y">'Final ENU frame'!$C$14</definedName>
    <definedName name="v0z">'Final ENU frame'!$C$15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C12" i="4" s="1"/>
  <c r="D6" i="4"/>
  <c r="C18" i="4" s="1"/>
  <c r="D4" i="4"/>
  <c r="D7" i="3"/>
  <c r="C12" i="3" s="1"/>
  <c r="D6" i="3"/>
  <c r="C15" i="3" s="1"/>
  <c r="D4" i="3"/>
  <c r="N6" i="1"/>
  <c r="N5" i="1"/>
  <c r="N22" i="1" s="1"/>
  <c r="N3" i="1"/>
  <c r="C12" i="1"/>
  <c r="C13" i="1" s="1"/>
  <c r="C11" i="1"/>
  <c r="C13" i="3" l="1"/>
  <c r="C14" i="3"/>
  <c r="C17" i="3" s="1"/>
  <c r="C16" i="4"/>
  <c r="C19" i="4" s="1"/>
  <c r="C17" i="4"/>
  <c r="C14" i="4"/>
  <c r="C13" i="4"/>
  <c r="C15" i="4"/>
  <c r="C20" i="4"/>
  <c r="C21" i="4"/>
  <c r="C16" i="3"/>
  <c r="C18" i="3"/>
  <c r="C14" i="1"/>
  <c r="N21" i="1"/>
  <c r="N20" i="1"/>
  <c r="C19" i="1"/>
  <c r="C18" i="1"/>
  <c r="C17" i="1"/>
  <c r="I15" i="2"/>
  <c r="I19" i="2"/>
  <c r="J19" i="2" s="1"/>
  <c r="I18" i="2"/>
  <c r="J18" i="2" s="1"/>
  <c r="I17" i="2"/>
  <c r="I16" i="2"/>
  <c r="I13" i="2"/>
  <c r="I20" i="2" s="1"/>
  <c r="J20" i="2" s="1"/>
  <c r="C19" i="2"/>
  <c r="D19" i="2" s="1"/>
  <c r="C18" i="2"/>
  <c r="D18" i="2" s="1"/>
  <c r="C17" i="2"/>
  <c r="C16" i="2"/>
  <c r="C13" i="2"/>
  <c r="C20" i="2" s="1"/>
  <c r="D20" i="2" s="1"/>
  <c r="C15" i="2" l="1"/>
  <c r="C21" i="1" l="1"/>
  <c r="C24" i="1"/>
  <c r="D24" i="1" s="1"/>
  <c r="C23" i="1" l="1"/>
  <c r="D23" i="1" s="1"/>
  <c r="C20" i="1"/>
  <c r="C25" i="1"/>
  <c r="D25" i="1" s="1"/>
  <c r="C22" i="1"/>
</calcChain>
</file>

<file path=xl/sharedStrings.xml><?xml version="1.0" encoding="utf-8"?>
<sst xmlns="http://schemas.openxmlformats.org/spreadsheetml/2006/main" count="113" uniqueCount="40">
  <si>
    <t>Latitude (deg)</t>
  </si>
  <si>
    <t>Velocity (m/s)</t>
  </si>
  <si>
    <t>Earth omega (rad/s)</t>
  </si>
  <si>
    <t xml:space="preserve"> </t>
  </si>
  <si>
    <t>Range (m)</t>
  </si>
  <si>
    <t>Time of flight</t>
  </si>
  <si>
    <t>V0-y</t>
  </si>
  <si>
    <t>V0-x</t>
  </si>
  <si>
    <t>V0-z</t>
  </si>
  <si>
    <t>Gravity</t>
  </si>
  <si>
    <t>dx</t>
  </si>
  <si>
    <t>dy</t>
  </si>
  <si>
    <t>dz</t>
  </si>
  <si>
    <t>Coriolis Calculator</t>
  </si>
  <si>
    <t>Coriolis ax</t>
  </si>
  <si>
    <t>Coriolis ay</t>
  </si>
  <si>
    <t>Coriolis az</t>
  </si>
  <si>
    <t>Firing azimuth (deg)</t>
  </si>
  <si>
    <t>Quadrant elevation (mils)</t>
  </si>
  <si>
    <t>Mils</t>
  </si>
  <si>
    <t>Time of flight (m/s)</t>
  </si>
  <si>
    <t>Gravity (m/s^2)</t>
  </si>
  <si>
    <t>Initial horizontal velocity</t>
  </si>
  <si>
    <t>Initial vertical velocity</t>
  </si>
  <si>
    <t>Range</t>
  </si>
  <si>
    <t>ax</t>
  </si>
  <si>
    <t>ay</t>
  </si>
  <si>
    <t>az</t>
  </si>
  <si>
    <t>lambda</t>
  </si>
  <si>
    <t>AZ</t>
  </si>
  <si>
    <t>theta</t>
  </si>
  <si>
    <t>Muzzle velocity (m/s)</t>
  </si>
  <si>
    <t>Time of flight (sec)</t>
  </si>
  <si>
    <t>Latitude (deg) / lambda</t>
  </si>
  <si>
    <t>Radians</t>
  </si>
  <si>
    <t>Inputs</t>
  </si>
  <si>
    <t>Outputs</t>
  </si>
  <si>
    <t>initial velocity - z</t>
  </si>
  <si>
    <t>Initial velocity - x</t>
  </si>
  <si>
    <t>initial velocity -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</si>
</sst>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5" fillId="4" borderId="14" applyNumberFormat="0" applyAlignment="0" applyProtection="0"/>
  </cellStyleXfs>
  <cellXfs count="36">
    <xf numFmtId="0" fontId="0" fillId="0" borderId="0" xfId="0"/>
    <xf numFmtId="0" fontId="0" fillId="0" borderId="2" xfId="0" applyBorder="1"/>
    <xf numFmtId="0" fontId="4" fillId="2" borderId="2" xfId="1" applyFon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9" xfId="1" applyFont="1" applyBorder="1"/>
    <xf numFmtId="0" fontId="0" fillId="0" borderId="10" xfId="0" applyBorder="1"/>
    <xf numFmtId="0" fontId="5" fillId="4" borderId="14" xfId="3"/>
    <xf numFmtId="2" fontId="0" fillId="0" borderId="2" xfId="0" applyNumberFormat="1" applyBorder="1"/>
    <xf numFmtId="0" fontId="5" fillId="4" borderId="2" xfId="3" applyBorder="1"/>
    <xf numFmtId="0" fontId="0" fillId="3" borderId="4" xfId="2" applyFont="1" applyBorder="1" applyAlignment="1">
      <alignment horizontal="center"/>
    </xf>
    <xf numFmtId="2" fontId="0" fillId="0" borderId="4" xfId="0" applyNumberFormat="1" applyBorder="1"/>
    <xf numFmtId="164" fontId="0" fillId="0" borderId="0" xfId="0" applyNumberFormat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6" xfId="0" applyNumberFormat="1" applyBorder="1"/>
    <xf numFmtId="0" fontId="0" fillId="3" borderId="21" xfId="2" applyFont="1" applyBorder="1" applyAlignment="1">
      <alignment horizontal="center"/>
    </xf>
    <xf numFmtId="164" fontId="0" fillId="0" borderId="4" xfId="0" applyNumberFormat="1" applyBorder="1"/>
    <xf numFmtId="165" fontId="5" fillId="4" borderId="22" xfId="3" applyNumberFormat="1" applyBorder="1"/>
    <xf numFmtId="0" fontId="3" fillId="3" borderId="15" xfId="2" applyFont="1" applyBorder="1" applyAlignment="1">
      <alignment horizontal="center"/>
    </xf>
    <xf numFmtId="0" fontId="3" fillId="3" borderId="16" xfId="2" applyFont="1" applyBorder="1" applyAlignment="1">
      <alignment horizontal="center"/>
    </xf>
    <xf numFmtId="0" fontId="3" fillId="3" borderId="17" xfId="2" applyFont="1" applyBorder="1" applyAlignment="1">
      <alignment horizontal="center"/>
    </xf>
    <xf numFmtId="0" fontId="3" fillId="3" borderId="20" xfId="2" applyFont="1" applyBorder="1" applyAlignment="1">
      <alignment horizontal="center"/>
    </xf>
    <xf numFmtId="0" fontId="3" fillId="3" borderId="18" xfId="2" applyFont="1" applyBorder="1" applyAlignment="1">
      <alignment horizontal="center"/>
    </xf>
    <xf numFmtId="0" fontId="3" fillId="3" borderId="19" xfId="2" applyFont="1" applyBorder="1" applyAlignment="1">
      <alignment horizontal="center"/>
    </xf>
    <xf numFmtId="0" fontId="3" fillId="3" borderId="11" xfId="2" applyFont="1" applyBorder="1" applyAlignment="1">
      <alignment horizontal="center"/>
    </xf>
    <xf numFmtId="0" fontId="3" fillId="3" borderId="12" xfId="2" applyFont="1" applyBorder="1" applyAlignment="1">
      <alignment horizontal="center"/>
    </xf>
    <xf numFmtId="0" fontId="3" fillId="3" borderId="13" xfId="2" applyFont="1" applyBorder="1" applyAlignment="1">
      <alignment horizontal="center"/>
    </xf>
    <xf numFmtId="2" fontId="0" fillId="0" borderId="0" xfId="0" applyNumberFormat="1"/>
  </cellXfs>
  <cellStyles count="4">
    <cellStyle name="Good" xfId="1" builtinId="26"/>
    <cellStyle name="Input" xfId="3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2</xdr:row>
      <xdr:rowOff>5987</xdr:rowOff>
    </xdr:from>
    <xdr:to>
      <xdr:col>11</xdr:col>
      <xdr:colOff>495300</xdr:colOff>
      <xdr:row>19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53662"/>
          <a:ext cx="4371975" cy="329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152400</xdr:rowOff>
    </xdr:from>
    <xdr:to>
      <xdr:col>11</xdr:col>
      <xdr:colOff>219075</xdr:colOff>
      <xdr:row>35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229100"/>
          <a:ext cx="75819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180975</xdr:rowOff>
        </xdr:from>
        <xdr:to>
          <xdr:col>7</xdr:col>
          <xdr:colOff>114300</xdr:colOff>
          <xdr:row>25</xdr:row>
          <xdr:rowOff>57150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2</xdr:row>
      <xdr:rowOff>9525</xdr:rowOff>
    </xdr:from>
    <xdr:to>
      <xdr:col>12</xdr:col>
      <xdr:colOff>228600</xdr:colOff>
      <xdr:row>19</xdr:row>
      <xdr:rowOff>47625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66725"/>
          <a:ext cx="451485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161925</xdr:colOff>
      <xdr:row>1</xdr:row>
      <xdr:rowOff>247650</xdr:rowOff>
    </xdr:from>
    <xdr:ext cx="306879" cy="31149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534275" y="447675"/>
          <a:ext cx="3068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400" b="1"/>
            <a:t>Ω</a:t>
          </a:r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31</xdr:row>
      <xdr:rowOff>114300</xdr:rowOff>
    </xdr:from>
    <xdr:to>
      <xdr:col>1</xdr:col>
      <xdr:colOff>1257300</xdr:colOff>
      <xdr:row>33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447800" y="6096000"/>
          <a:ext cx="419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λ</a:t>
          </a:r>
          <a:endParaRPr lang="en-US" sz="1100"/>
        </a:p>
      </xdr:txBody>
    </xdr:sp>
    <xdr:clientData/>
  </xdr:twoCellAnchor>
  <xdr:twoCellAnchor>
    <xdr:from>
      <xdr:col>1</xdr:col>
      <xdr:colOff>523875</xdr:colOff>
      <xdr:row>28</xdr:row>
      <xdr:rowOff>133350</xdr:rowOff>
    </xdr:from>
    <xdr:to>
      <xdr:col>1</xdr:col>
      <xdr:colOff>942975</xdr:colOff>
      <xdr:row>30</xdr:row>
      <xdr:rowOff>19050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133475" y="5543550"/>
          <a:ext cx="419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22</xdr:row>
          <xdr:rowOff>19050</xdr:rowOff>
        </xdr:from>
        <xdr:to>
          <xdr:col>6</xdr:col>
          <xdr:colOff>504825</xdr:colOff>
          <xdr:row>27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2</xdr:row>
      <xdr:rowOff>9525</xdr:rowOff>
    </xdr:from>
    <xdr:to>
      <xdr:col>12</xdr:col>
      <xdr:colOff>228600</xdr:colOff>
      <xdr:row>19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66725"/>
          <a:ext cx="451485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161925</xdr:colOff>
      <xdr:row>1</xdr:row>
      <xdr:rowOff>247650</xdr:rowOff>
    </xdr:from>
    <xdr:ext cx="30687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534275" y="447675"/>
          <a:ext cx="3068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400" b="1"/>
            <a:t>Ω</a:t>
          </a:r>
          <a:endParaRPr lang="en-US" sz="1400" b="1"/>
        </a:p>
      </xdr:txBody>
    </xdr:sp>
    <xdr:clientData/>
  </xdr:oneCellAnchor>
  <xdr:twoCellAnchor>
    <xdr:from>
      <xdr:col>1</xdr:col>
      <xdr:colOff>781050</xdr:colOff>
      <xdr:row>28</xdr:row>
      <xdr:rowOff>85725</xdr:rowOff>
    </xdr:from>
    <xdr:to>
      <xdr:col>1</xdr:col>
      <xdr:colOff>781050</xdr:colOff>
      <xdr:row>34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390650" y="5495925"/>
          <a:ext cx="0" cy="10668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34</xdr:row>
      <xdr:rowOff>0</xdr:rowOff>
    </xdr:from>
    <xdr:to>
      <xdr:col>2</xdr:col>
      <xdr:colOff>276225</xdr:colOff>
      <xdr:row>34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381125" y="6553200"/>
          <a:ext cx="1200150" cy="95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31</xdr:row>
      <xdr:rowOff>66675</xdr:rowOff>
    </xdr:from>
    <xdr:to>
      <xdr:col>2</xdr:col>
      <xdr:colOff>209550</xdr:colOff>
      <xdr:row>34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381125" y="6048375"/>
          <a:ext cx="1133475" cy="5048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33</xdr:row>
      <xdr:rowOff>47625</xdr:rowOff>
    </xdr:from>
    <xdr:to>
      <xdr:col>2</xdr:col>
      <xdr:colOff>704850</xdr:colOff>
      <xdr:row>34</xdr:row>
      <xdr:rowOff>123825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590800" y="6410325"/>
          <a:ext cx="419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1</xdr:col>
      <xdr:colOff>1571625</xdr:colOff>
      <xdr:row>29</xdr:row>
      <xdr:rowOff>133350</xdr:rowOff>
    </xdr:from>
    <xdr:to>
      <xdr:col>2</xdr:col>
      <xdr:colOff>581025</xdr:colOff>
      <xdr:row>31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181225" y="5734050"/>
          <a:ext cx="7048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 cos </a:t>
          </a:r>
          <a:r>
            <a:rPr lang="el-GR" sz="1100"/>
            <a:t>θ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32</xdr:row>
      <xdr:rowOff>139337</xdr:rowOff>
    </xdr:from>
    <xdr:to>
      <xdr:col>6</xdr:col>
      <xdr:colOff>171450</xdr:colOff>
      <xdr:row>50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130562"/>
          <a:ext cx="4371975" cy="329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152400</xdr:rowOff>
    </xdr:from>
    <xdr:to>
      <xdr:col>10</xdr:col>
      <xdr:colOff>514350</xdr:colOff>
      <xdr:row>30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238625"/>
          <a:ext cx="75819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1DEF-40A4-41D9-93A2-E0647E41ADA6}">
  <dimension ref="A1:N25"/>
  <sheetViews>
    <sheetView workbookViewId="0">
      <selection activeCell="C11" sqref="C11:C14"/>
    </sheetView>
  </sheetViews>
  <sheetFormatPr defaultRowHeight="15" x14ac:dyDescent="0.25"/>
  <cols>
    <col min="2" max="2" width="25.42578125" customWidth="1"/>
    <col min="3" max="3" width="12" bestFit="1" customWidth="1"/>
    <col min="14" max="14" width="9.140625" style="19"/>
  </cols>
  <sheetData>
    <row r="1" spans="1:14" ht="15.75" thickBot="1" x14ac:dyDescent="0.3"/>
    <row r="2" spans="1:14" ht="20.25" customHeight="1" x14ac:dyDescent="0.3">
      <c r="A2" s="26" t="s">
        <v>13</v>
      </c>
      <c r="B2" s="27"/>
      <c r="C2" s="27"/>
      <c r="D2" s="28"/>
    </row>
    <row r="3" spans="1:14" x14ac:dyDescent="0.25">
      <c r="A3" s="4"/>
      <c r="B3" s="1" t="s">
        <v>0</v>
      </c>
      <c r="C3" s="2">
        <v>40</v>
      </c>
      <c r="D3" s="5"/>
      <c r="E3" t="s">
        <v>3</v>
      </c>
      <c r="M3" t="s">
        <v>28</v>
      </c>
      <c r="N3" s="19">
        <f>RADIANS(C3)</f>
        <v>0.69813170079773179</v>
      </c>
    </row>
    <row r="4" spans="1:14" x14ac:dyDescent="0.25">
      <c r="A4" s="4"/>
      <c r="B4" s="1" t="s">
        <v>1</v>
      </c>
      <c r="C4" s="2">
        <v>685</v>
      </c>
      <c r="D4" s="5"/>
    </row>
    <row r="5" spans="1:14" x14ac:dyDescent="0.25">
      <c r="A5" s="4"/>
      <c r="B5" s="1" t="s">
        <v>17</v>
      </c>
      <c r="C5" s="2">
        <v>0</v>
      </c>
      <c r="D5" s="5"/>
      <c r="M5" t="s">
        <v>29</v>
      </c>
      <c r="N5" s="19">
        <f>RADIANS(C5)</f>
        <v>0</v>
      </c>
    </row>
    <row r="6" spans="1:14" x14ac:dyDescent="0.25">
      <c r="A6" s="4"/>
      <c r="B6" s="1" t="s">
        <v>18</v>
      </c>
      <c r="C6" s="2">
        <v>300</v>
      </c>
      <c r="D6" s="5"/>
      <c r="M6" t="s">
        <v>30</v>
      </c>
      <c r="N6" s="19">
        <f>C6/1000</f>
        <v>0.3</v>
      </c>
    </row>
    <row r="7" spans="1:14" x14ac:dyDescent="0.25">
      <c r="A7" s="4"/>
      <c r="B7" s="1" t="s">
        <v>4</v>
      </c>
      <c r="C7" s="2">
        <v>15000</v>
      </c>
      <c r="D7" s="5"/>
    </row>
    <row r="8" spans="1:14" x14ac:dyDescent="0.25">
      <c r="A8" s="4"/>
      <c r="B8" s="1" t="s">
        <v>2</v>
      </c>
      <c r="C8" s="16">
        <v>7.2700000000000005E-5</v>
      </c>
      <c r="D8" s="5"/>
    </row>
    <row r="9" spans="1:14" x14ac:dyDescent="0.25">
      <c r="A9" s="4"/>
      <c r="B9" s="1" t="s">
        <v>21</v>
      </c>
      <c r="C9" s="16">
        <v>9.81</v>
      </c>
      <c r="D9" s="5"/>
    </row>
    <row r="10" spans="1:14" x14ac:dyDescent="0.25">
      <c r="A10" s="4"/>
      <c r="B10" s="1"/>
      <c r="D10" s="5"/>
    </row>
    <row r="11" spans="1:14" x14ac:dyDescent="0.25">
      <c r="A11" s="4"/>
      <c r="B11" s="1" t="s">
        <v>22</v>
      </c>
      <c r="C11" s="35">
        <f>C4*COS(C6/1000)</f>
        <v>654.40549505104013</v>
      </c>
      <c r="D11" s="5"/>
    </row>
    <row r="12" spans="1:14" x14ac:dyDescent="0.25">
      <c r="A12" s="4"/>
      <c r="B12" s="1" t="s">
        <v>23</v>
      </c>
      <c r="C12" s="35">
        <f>C4*SIN(C6/1000)</f>
        <v>202.43134156301758</v>
      </c>
      <c r="D12" s="5"/>
    </row>
    <row r="13" spans="1:14" x14ac:dyDescent="0.25">
      <c r="A13" s="4"/>
      <c r="B13" s="1" t="s">
        <v>20</v>
      </c>
      <c r="C13" s="35">
        <f>2*C12/C9</f>
        <v>41.270406027118774</v>
      </c>
      <c r="D13" s="5"/>
    </row>
    <row r="14" spans="1:14" x14ac:dyDescent="0.25">
      <c r="A14" s="4"/>
      <c r="B14" s="1" t="s">
        <v>24</v>
      </c>
      <c r="C14" s="35">
        <f>C11*C13</f>
        <v>27007.580487134092</v>
      </c>
      <c r="D14" s="5"/>
    </row>
    <row r="15" spans="1:14" x14ac:dyDescent="0.25">
      <c r="A15" s="4"/>
      <c r="B15" s="1"/>
      <c r="D15" s="5"/>
    </row>
    <row r="16" spans="1:14" x14ac:dyDescent="0.25">
      <c r="A16" s="4"/>
      <c r="B16" s="1"/>
      <c r="C16" s="1" t="s">
        <v>3</v>
      </c>
      <c r="D16" s="5"/>
    </row>
    <row r="17" spans="1:14" x14ac:dyDescent="0.25">
      <c r="A17" s="4"/>
      <c r="B17" s="1" t="s">
        <v>7</v>
      </c>
      <c r="C17" s="15">
        <f>C4*COS(RADIANS(C5))</f>
        <v>685</v>
      </c>
      <c r="D17" s="5"/>
    </row>
    <row r="18" spans="1:14" x14ac:dyDescent="0.25">
      <c r="A18" s="4"/>
      <c r="B18" s="1" t="s">
        <v>6</v>
      </c>
      <c r="C18" s="15">
        <f>C4*SIN(RADIANS(C5))</f>
        <v>0</v>
      </c>
      <c r="D18" s="5"/>
    </row>
    <row r="19" spans="1:14" x14ac:dyDescent="0.25">
      <c r="A19" s="4"/>
      <c r="B19" s="1" t="s">
        <v>8</v>
      </c>
      <c r="C19" s="15">
        <f>C4*SIN(C6/1000)</f>
        <v>202.43134156301758</v>
      </c>
      <c r="D19" s="5"/>
    </row>
    <row r="20" spans="1:14" x14ac:dyDescent="0.25">
      <c r="A20" s="4"/>
      <c r="B20" s="1" t="s">
        <v>14</v>
      </c>
      <c r="C20" s="3">
        <f>2*C18*C8*SIN(RADIANS(C3))</f>
        <v>0</v>
      </c>
      <c r="D20" s="5"/>
      <c r="M20" t="s">
        <v>25</v>
      </c>
      <c r="N20" s="19">
        <f>2*C4*C8*COS(thetaN)*SIN(AZN)*SIN(lambdaN)</f>
        <v>0</v>
      </c>
    </row>
    <row r="21" spans="1:14" x14ac:dyDescent="0.25">
      <c r="A21" s="4"/>
      <c r="B21" s="1" t="s">
        <v>15</v>
      </c>
      <c r="C21" s="3">
        <f>-2*C17*C8*SIN(RADIANS(C3))-2*(C19-C9*C13)*C8*COS(RADIANS(C3))</f>
        <v>-4.1473620949409568E-2</v>
      </c>
      <c r="D21" s="5"/>
      <c r="M21" t="s">
        <v>26</v>
      </c>
      <c r="N21" s="19">
        <f>-2*C4*C8*(SIN(thetaN)*COS(lambdaN)+COS(thetaN)*COS(AZN)*SIN(lambdaN))</f>
        <v>-8.3708982555123088E-2</v>
      </c>
    </row>
    <row r="22" spans="1:14" x14ac:dyDescent="0.25">
      <c r="A22" s="4"/>
      <c r="B22" s="1" t="s">
        <v>16</v>
      </c>
      <c r="C22" s="3">
        <f>2*C18*C8*COS(RADIANS(C3))</f>
        <v>0</v>
      </c>
      <c r="D22" s="17" t="s">
        <v>19</v>
      </c>
      <c r="M22" t="s">
        <v>27</v>
      </c>
      <c r="N22" s="19">
        <f>2*C4*C8*COS(lambdaN)*COS(thetaN)*SIN(AZN)</f>
        <v>0</v>
      </c>
    </row>
    <row r="23" spans="1:14" x14ac:dyDescent="0.25">
      <c r="A23" s="4"/>
      <c r="B23" s="1" t="s">
        <v>10</v>
      </c>
      <c r="C23" s="1">
        <f>C18*C8*SIN(RADIANS(C3))*C13^2</f>
        <v>0</v>
      </c>
      <c r="D23" s="5">
        <f>1000*C23/C7</f>
        <v>0</v>
      </c>
    </row>
    <row r="24" spans="1:14" x14ac:dyDescent="0.25">
      <c r="A24" s="4"/>
      <c r="B24" s="1" t="s">
        <v>11</v>
      </c>
      <c r="C24" s="15">
        <f>-C17*C8*SIN(RADIANS(C3))*C13^2-C19*C8*COS(RADIANS(C3))*C13^2+C9*C8*COS(RADIANS(C3))*(C13^3)/3</f>
        <v>-60.922396637004404</v>
      </c>
      <c r="D24" s="18">
        <f>1000*C24/C7</f>
        <v>-4.061493109133627</v>
      </c>
    </row>
    <row r="25" spans="1:14" ht="15.75" thickBot="1" x14ac:dyDescent="0.3">
      <c r="A25" s="6"/>
      <c r="B25" s="7" t="s">
        <v>12</v>
      </c>
      <c r="C25" s="8">
        <f>C18*C8*COS(RADIANS(C3))*C13^2</f>
        <v>0</v>
      </c>
      <c r="D25" s="9">
        <f>1000*C25/C7</f>
        <v>0</v>
      </c>
    </row>
  </sheetData>
  <mergeCells count="1">
    <mergeCell ref="A2:D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7988-3014-473C-8E30-5A25A8635806}">
  <dimension ref="A1:N18"/>
  <sheetViews>
    <sheetView workbookViewId="0">
      <selection activeCell="C7" sqref="C7"/>
    </sheetView>
  </sheetViews>
  <sheetFormatPr defaultRowHeight="15" x14ac:dyDescent="0.25"/>
  <cols>
    <col min="2" max="2" width="25.42578125" customWidth="1"/>
    <col min="3" max="3" width="12" bestFit="1" customWidth="1"/>
    <col min="14" max="14" width="9.140625" style="19"/>
  </cols>
  <sheetData>
    <row r="1" spans="1:5" ht="15.75" thickBot="1" x14ac:dyDescent="0.3"/>
    <row r="2" spans="1:5" ht="20.25" customHeight="1" x14ac:dyDescent="0.3">
      <c r="A2" t="s">
        <v>3</v>
      </c>
      <c r="B2" s="29" t="s">
        <v>13</v>
      </c>
      <c r="C2" s="30"/>
      <c r="D2" s="31"/>
    </row>
    <row r="3" spans="1:5" ht="14.25" customHeight="1" x14ac:dyDescent="0.25">
      <c r="B3" s="23" t="s">
        <v>35</v>
      </c>
      <c r="C3" s="1"/>
      <c r="D3" s="21" t="s">
        <v>34</v>
      </c>
    </row>
    <row r="4" spans="1:5" x14ac:dyDescent="0.25">
      <c r="B4" s="4" t="s">
        <v>33</v>
      </c>
      <c r="C4" s="2">
        <v>40</v>
      </c>
      <c r="D4" s="20">
        <f>RADIANS(C4)</f>
        <v>0.69813170079773179</v>
      </c>
      <c r="E4" t="s">
        <v>3</v>
      </c>
    </row>
    <row r="5" spans="1:5" x14ac:dyDescent="0.25">
      <c r="B5" s="4" t="s">
        <v>31</v>
      </c>
      <c r="C5" s="2">
        <v>685</v>
      </c>
      <c r="D5" s="20"/>
    </row>
    <row r="6" spans="1:5" x14ac:dyDescent="0.25">
      <c r="B6" s="4" t="s">
        <v>17</v>
      </c>
      <c r="C6" s="2">
        <v>90</v>
      </c>
      <c r="D6" s="20">
        <f>RADIANS(C6)</f>
        <v>1.5707963267948966</v>
      </c>
    </row>
    <row r="7" spans="1:5" x14ac:dyDescent="0.25">
      <c r="B7" s="4" t="s">
        <v>18</v>
      </c>
      <c r="C7" s="2">
        <v>300</v>
      </c>
      <c r="D7" s="20">
        <f>C7/1000</f>
        <v>0.3</v>
      </c>
    </row>
    <row r="8" spans="1:5" x14ac:dyDescent="0.25">
      <c r="B8" s="4" t="s">
        <v>2</v>
      </c>
      <c r="C8" s="16">
        <v>7.2700000000000005E-5</v>
      </c>
      <c r="D8" s="5"/>
    </row>
    <row r="9" spans="1:5" x14ac:dyDescent="0.25">
      <c r="B9" s="4" t="s">
        <v>21</v>
      </c>
      <c r="C9" s="16">
        <v>9.81</v>
      </c>
      <c r="D9" s="5"/>
    </row>
    <row r="10" spans="1:5" x14ac:dyDescent="0.25">
      <c r="B10" s="4" t="s">
        <v>3</v>
      </c>
      <c r="C10" s="15" t="s">
        <v>3</v>
      </c>
      <c r="D10" s="5"/>
    </row>
    <row r="11" spans="1:5" x14ac:dyDescent="0.25">
      <c r="B11" s="23" t="s">
        <v>36</v>
      </c>
      <c r="C11" s="1"/>
      <c r="D11" s="5"/>
    </row>
    <row r="12" spans="1:5" x14ac:dyDescent="0.25">
      <c r="B12" s="4" t="s">
        <v>32</v>
      </c>
      <c r="C12" s="15">
        <f>2*C5*SIN(theta)/C9</f>
        <v>41.270406027118774</v>
      </c>
      <c r="D12" s="5"/>
    </row>
    <row r="13" spans="1:5" x14ac:dyDescent="0.25">
      <c r="B13" s="4" t="s">
        <v>14</v>
      </c>
      <c r="C13" s="3">
        <f>-2*C5*C8*(COS(lambda)*SIN(theta)-COS(theta)*COS(AZ)*SIN(lambda))</f>
        <v>-2.2547382187760055E-2</v>
      </c>
      <c r="D13" s="5"/>
    </row>
    <row r="14" spans="1:5" x14ac:dyDescent="0.25">
      <c r="B14" s="4" t="s">
        <v>15</v>
      </c>
      <c r="C14" s="3">
        <f>-2*C5*C8*COS(theta)*SIN(AZ)*SIN(lambda)</f>
        <v>-6.1161600367363039E-2</v>
      </c>
      <c r="D14" s="5"/>
    </row>
    <row r="15" spans="1:5" x14ac:dyDescent="0.25">
      <c r="B15" s="4" t="s">
        <v>16</v>
      </c>
      <c r="C15" s="3">
        <f>2*C5*C8*COS(theta)*SIN(AZ)*COS(lambda)</f>
        <v>7.2889556966616267E-2</v>
      </c>
      <c r="D15" s="5"/>
    </row>
    <row r="16" spans="1:5" x14ac:dyDescent="0.25">
      <c r="B16" s="4" t="s">
        <v>10</v>
      </c>
      <c r="C16" s="15">
        <f>0.5*C13*C12^2</f>
        <v>-19.201873924172912</v>
      </c>
      <c r="D16" s="5"/>
    </row>
    <row r="17" spans="2:4" x14ac:dyDescent="0.25">
      <c r="B17" s="4" t="s">
        <v>11</v>
      </c>
      <c r="C17" s="15">
        <f>0.5*C14*C12^2</f>
        <v>-52.086638239196134</v>
      </c>
      <c r="D17" s="18"/>
    </row>
    <row r="18" spans="2:4" ht="15.75" thickBot="1" x14ac:dyDescent="0.3">
      <c r="B18" s="6" t="s">
        <v>12</v>
      </c>
      <c r="C18" s="22">
        <f>0.5*C15*C12^2</f>
        <v>62.074438247716955</v>
      </c>
      <c r="D18" s="9"/>
    </row>
  </sheetData>
  <mergeCells count="1">
    <mergeCell ref="B2:D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 sizeWithCells="1">
              <from>
                <xdr:col>1</xdr:col>
                <xdr:colOff>95250</xdr:colOff>
                <xdr:row>19</xdr:row>
                <xdr:rowOff>180975</xdr:rowOff>
              </from>
              <to>
                <xdr:col>7</xdr:col>
                <xdr:colOff>114300</xdr:colOff>
                <xdr:row>25</xdr:row>
                <xdr:rowOff>57150</xdr:rowOff>
              </to>
            </anchor>
          </objectPr>
        </oleObject>
      </mc:Choice>
      <mc:Fallback>
        <oleObject progId="Equation.DSMT4"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106D-8289-4F0F-9068-20DE84689124}">
  <dimension ref="A1:N21"/>
  <sheetViews>
    <sheetView workbookViewId="0">
      <selection activeCell="B45" sqref="B45"/>
    </sheetView>
  </sheetViews>
  <sheetFormatPr defaultRowHeight="15" x14ac:dyDescent="0.25"/>
  <cols>
    <col min="2" max="2" width="25.42578125" customWidth="1"/>
    <col min="3" max="3" width="12" bestFit="1" customWidth="1"/>
    <col min="4" max="4" width="12.7109375" bestFit="1" customWidth="1"/>
    <col min="14" max="14" width="9.140625" style="19"/>
  </cols>
  <sheetData>
    <row r="1" spans="1:5" ht="15.75" thickBot="1" x14ac:dyDescent="0.3"/>
    <row r="2" spans="1:5" ht="20.25" customHeight="1" x14ac:dyDescent="0.3">
      <c r="A2" t="s">
        <v>3</v>
      </c>
      <c r="B2" s="29" t="s">
        <v>13</v>
      </c>
      <c r="C2" s="30"/>
      <c r="D2" s="31"/>
    </row>
    <row r="3" spans="1:5" ht="14.25" customHeight="1" x14ac:dyDescent="0.25">
      <c r="B3" s="23" t="s">
        <v>35</v>
      </c>
      <c r="C3" s="1"/>
      <c r="D3" s="21" t="s">
        <v>34</v>
      </c>
    </row>
    <row r="4" spans="1:5" x14ac:dyDescent="0.25">
      <c r="B4" s="4" t="s">
        <v>33</v>
      </c>
      <c r="C4" s="2">
        <v>40</v>
      </c>
      <c r="D4" s="25">
        <f>RADIANS(C4)</f>
        <v>0.69813170079773179</v>
      </c>
      <c r="E4" t="s">
        <v>3</v>
      </c>
    </row>
    <row r="5" spans="1:5" x14ac:dyDescent="0.25">
      <c r="B5" s="4" t="s">
        <v>31</v>
      </c>
      <c r="C5" s="2">
        <v>685</v>
      </c>
      <c r="D5" s="20"/>
    </row>
    <row r="6" spans="1:5" x14ac:dyDescent="0.25">
      <c r="B6" s="4" t="s">
        <v>17</v>
      </c>
      <c r="C6" s="2">
        <v>45</v>
      </c>
      <c r="D6" s="25">
        <f>RADIANS(C6)</f>
        <v>0.78539816339744828</v>
      </c>
    </row>
    <row r="7" spans="1:5" x14ac:dyDescent="0.25">
      <c r="B7" s="4" t="s">
        <v>18</v>
      </c>
      <c r="C7" s="2">
        <v>300</v>
      </c>
      <c r="D7" s="25">
        <f>C7/1000</f>
        <v>0.3</v>
      </c>
    </row>
    <row r="8" spans="1:5" x14ac:dyDescent="0.25">
      <c r="B8" s="4" t="s">
        <v>2</v>
      </c>
      <c r="C8" s="16">
        <v>7.2700000000000005E-5</v>
      </c>
      <c r="D8" s="5"/>
    </row>
    <row r="9" spans="1:5" x14ac:dyDescent="0.25">
      <c r="B9" s="4" t="s">
        <v>21</v>
      </c>
      <c r="C9" s="16">
        <v>9.81</v>
      </c>
      <c r="D9" s="5"/>
    </row>
    <row r="10" spans="1:5" x14ac:dyDescent="0.25">
      <c r="B10" s="4" t="s">
        <v>3</v>
      </c>
      <c r="C10" s="15" t="s">
        <v>3</v>
      </c>
      <c r="D10" s="5"/>
    </row>
    <row r="11" spans="1:5" x14ac:dyDescent="0.25">
      <c r="B11" s="23" t="s">
        <v>36</v>
      </c>
      <c r="C11" s="1"/>
      <c r="D11" s="5"/>
    </row>
    <row r="12" spans="1:5" x14ac:dyDescent="0.25">
      <c r="B12" s="4" t="s">
        <v>32</v>
      </c>
      <c r="C12" s="15">
        <f>2*C5*SIN(theta)/C9</f>
        <v>41.270406027118774</v>
      </c>
      <c r="D12" s="5"/>
    </row>
    <row r="13" spans="1:5" x14ac:dyDescent="0.25">
      <c r="B13" s="4" t="s">
        <v>38</v>
      </c>
      <c r="C13" s="15">
        <f>C5*COS(theta)*SIN(AZ)</f>
        <v>462.7345631963301</v>
      </c>
      <c r="D13" s="5"/>
    </row>
    <row r="14" spans="1:5" x14ac:dyDescent="0.25">
      <c r="B14" s="4" t="s">
        <v>39</v>
      </c>
      <c r="C14" s="15">
        <f>C5*COS(theta)*COS(AZ)</f>
        <v>462.73456319633016</v>
      </c>
      <c r="D14" s="5"/>
    </row>
    <row r="15" spans="1:5" x14ac:dyDescent="0.25">
      <c r="B15" s="4" t="s">
        <v>37</v>
      </c>
      <c r="C15" s="15">
        <f>C5*SIN(theta)</f>
        <v>202.43134156301758</v>
      </c>
      <c r="D15" s="5"/>
    </row>
    <row r="16" spans="1:5" x14ac:dyDescent="0.25">
      <c r="B16" s="4" t="s">
        <v>14</v>
      </c>
      <c r="C16" s="3">
        <f>-2*C5*C8*(COS(lambda)*SIN(theta)-COS(theta)*COS(AZ)*SIN(lambda))</f>
        <v>2.0700400180223989E-2</v>
      </c>
      <c r="D16" s="24" t="s">
        <v>3</v>
      </c>
    </row>
    <row r="17" spans="2:4" x14ac:dyDescent="0.25">
      <c r="B17" s="4" t="s">
        <v>15</v>
      </c>
      <c r="C17" s="3">
        <f>-2*C5*C8*COS(theta)*SIN(AZ)*SIN(lambda)</f>
        <v>-4.3247782367984038E-2</v>
      </c>
      <c r="D17" s="24" t="s">
        <v>3</v>
      </c>
    </row>
    <row r="18" spans="2:4" x14ac:dyDescent="0.25">
      <c r="B18" s="4" t="s">
        <v>16</v>
      </c>
      <c r="C18" s="3">
        <f>2*C5*C8*COS(theta)*SIN(AZ)*COS(lambda)</f>
        <v>5.1540700008777508E-2</v>
      </c>
      <c r="D18" s="24" t="s">
        <v>3</v>
      </c>
    </row>
    <row r="19" spans="2:4" x14ac:dyDescent="0.25">
      <c r="B19" s="4" t="s">
        <v>10</v>
      </c>
      <c r="C19" s="15">
        <f>0.5*C16*C12^2</f>
        <v>17.628941183973211</v>
      </c>
      <c r="D19" s="5"/>
    </row>
    <row r="20" spans="2:4" x14ac:dyDescent="0.25">
      <c r="B20" s="4" t="s">
        <v>11</v>
      </c>
      <c r="C20" s="15">
        <f>0.5*C17*C12^2</f>
        <v>-36.830815108146112</v>
      </c>
      <c r="D20" s="18"/>
    </row>
    <row r="21" spans="2:4" ht="15.75" thickBot="1" x14ac:dyDescent="0.3">
      <c r="B21" s="6" t="s">
        <v>12</v>
      </c>
      <c r="C21" s="22">
        <f>0.5*C18*C12^2</f>
        <v>43.893256223306238</v>
      </c>
      <c r="D21" s="9"/>
    </row>
  </sheetData>
  <mergeCells count="1">
    <mergeCell ref="B2:D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1</xdr:col>
                <xdr:colOff>104775</xdr:colOff>
                <xdr:row>22</xdr:row>
                <xdr:rowOff>19050</xdr:rowOff>
              </from>
              <to>
                <xdr:col>6</xdr:col>
                <xdr:colOff>504825</xdr:colOff>
                <xdr:row>27</xdr:row>
                <xdr:rowOff>38100</xdr:rowOff>
              </to>
            </anchor>
          </objectPr>
        </oleObject>
      </mc:Choice>
      <mc:Fallback>
        <oleObject progId="Equation.DSMT4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6FF5-8535-47EE-B242-FB85286776A0}">
  <dimension ref="A1:J20"/>
  <sheetViews>
    <sheetView tabSelected="1" workbookViewId="0">
      <selection activeCell="C20" sqref="C20"/>
    </sheetView>
  </sheetViews>
  <sheetFormatPr defaultRowHeight="15" x14ac:dyDescent="0.25"/>
  <cols>
    <col min="2" max="2" width="19.5703125" customWidth="1"/>
    <col min="3" max="3" width="12" bestFit="1" customWidth="1"/>
    <col min="8" max="8" width="19.7109375" customWidth="1"/>
  </cols>
  <sheetData>
    <row r="1" spans="1:9" ht="15.75" thickBot="1" x14ac:dyDescent="0.3"/>
    <row r="2" spans="1:9" ht="20.25" customHeight="1" thickBot="1" x14ac:dyDescent="0.35">
      <c r="A2" s="32" t="s">
        <v>13</v>
      </c>
      <c r="B2" s="33"/>
      <c r="C2" s="33"/>
      <c r="D2" s="34"/>
      <c r="G2" t="s">
        <v>13</v>
      </c>
    </row>
    <row r="3" spans="1:9" x14ac:dyDescent="0.25">
      <c r="A3" s="10"/>
      <c r="B3" s="11" t="s">
        <v>0</v>
      </c>
      <c r="C3" s="12">
        <v>40</v>
      </c>
      <c r="D3" s="13"/>
      <c r="E3" t="s">
        <v>3</v>
      </c>
      <c r="H3" t="s">
        <v>0</v>
      </c>
      <c r="I3">
        <v>40</v>
      </c>
    </row>
    <row r="4" spans="1:9" x14ac:dyDescent="0.25">
      <c r="A4" s="4"/>
      <c r="B4" s="1" t="s">
        <v>1</v>
      </c>
      <c r="C4" s="2">
        <v>685</v>
      </c>
      <c r="D4" s="5"/>
      <c r="H4" t="s">
        <v>1</v>
      </c>
      <c r="I4">
        <v>685</v>
      </c>
    </row>
    <row r="5" spans="1:9" x14ac:dyDescent="0.25">
      <c r="A5" s="4"/>
      <c r="B5" s="1" t="s">
        <v>4</v>
      </c>
      <c r="C5" s="2">
        <v>15000</v>
      </c>
      <c r="D5" s="5"/>
      <c r="H5" t="s">
        <v>4</v>
      </c>
      <c r="I5">
        <v>15000</v>
      </c>
    </row>
    <row r="6" spans="1:9" x14ac:dyDescent="0.25">
      <c r="A6" s="4"/>
      <c r="B6" s="1" t="s">
        <v>2</v>
      </c>
      <c r="C6" s="14">
        <v>7.2700000000000005E-5</v>
      </c>
      <c r="D6" s="5"/>
      <c r="H6" t="s">
        <v>2</v>
      </c>
      <c r="I6">
        <v>7.2700000000000005E-5</v>
      </c>
    </row>
    <row r="7" spans="1:9" x14ac:dyDescent="0.25">
      <c r="A7" s="4"/>
      <c r="B7" s="1" t="s">
        <v>9</v>
      </c>
      <c r="C7" s="14">
        <v>9.81</v>
      </c>
      <c r="D7" s="5"/>
      <c r="H7" t="s">
        <v>9</v>
      </c>
      <c r="I7">
        <v>9.81</v>
      </c>
    </row>
    <row r="8" spans="1:9" x14ac:dyDescent="0.25">
      <c r="A8" s="4"/>
      <c r="B8" s="1"/>
      <c r="C8" s="14"/>
      <c r="D8" s="5"/>
    </row>
    <row r="9" spans="1:9" x14ac:dyDescent="0.25">
      <c r="A9" s="4"/>
      <c r="B9" s="1"/>
      <c r="C9" s="1"/>
      <c r="D9" s="5"/>
    </row>
    <row r="10" spans="1:9" x14ac:dyDescent="0.25">
      <c r="A10" s="4"/>
      <c r="B10" s="1" t="s">
        <v>3</v>
      </c>
      <c r="C10" s="2">
        <v>98</v>
      </c>
      <c r="D10" s="5"/>
      <c r="H10" t="s">
        <v>5</v>
      </c>
      <c r="I10">
        <v>98</v>
      </c>
    </row>
    <row r="11" spans="1:9" x14ac:dyDescent="0.25">
      <c r="A11" s="4"/>
      <c r="B11" s="1"/>
      <c r="C11" s="1" t="s">
        <v>3</v>
      </c>
      <c r="D11" s="5"/>
      <c r="I11" t="s">
        <v>3</v>
      </c>
    </row>
    <row r="12" spans="1:9" x14ac:dyDescent="0.25">
      <c r="A12" s="4"/>
      <c r="B12" s="1" t="s">
        <v>7</v>
      </c>
      <c r="C12" s="1">
        <v>0</v>
      </c>
      <c r="D12" s="5"/>
      <c r="H12" t="s">
        <v>7</v>
      </c>
      <c r="I12">
        <v>0</v>
      </c>
    </row>
    <row r="13" spans="1:9" x14ac:dyDescent="0.25">
      <c r="A13" s="4"/>
      <c r="B13" s="1" t="s">
        <v>6</v>
      </c>
      <c r="C13" s="1">
        <f>C4</f>
        <v>685</v>
      </c>
      <c r="D13" s="5"/>
      <c r="H13" t="s">
        <v>6</v>
      </c>
      <c r="I13">
        <f>I4</f>
        <v>685</v>
      </c>
    </row>
    <row r="14" spans="1:9" x14ac:dyDescent="0.25">
      <c r="A14" s="4"/>
      <c r="B14" s="1" t="s">
        <v>8</v>
      </c>
      <c r="C14" s="1">
        <v>0</v>
      </c>
      <c r="D14" s="5"/>
      <c r="H14" t="s">
        <v>8</v>
      </c>
      <c r="I14">
        <v>0</v>
      </c>
    </row>
    <row r="15" spans="1:9" x14ac:dyDescent="0.25">
      <c r="A15" s="4"/>
      <c r="B15" s="1" t="s">
        <v>14</v>
      </c>
      <c r="C15" s="3">
        <f>2*C13*C6*SIN(RADIANS(C3))</f>
        <v>6.402100313716963E-2</v>
      </c>
      <c r="D15" s="5"/>
      <c r="H15" t="s">
        <v>14</v>
      </c>
      <c r="I15">
        <f>2*I13*I6*SIN(RADIANS(I3))</f>
        <v>6.402100313716963E-2</v>
      </c>
    </row>
    <row r="16" spans="1:9" x14ac:dyDescent="0.25">
      <c r="A16" s="4"/>
      <c r="B16" s="1" t="s">
        <v>15</v>
      </c>
      <c r="C16" s="3">
        <f>-2*C12*C6*SIN(RADIANS(C3))-2*(C14-C7*C10)*C6*COS(RADIANS(C3))</f>
        <v>0.10708125589792014</v>
      </c>
      <c r="D16" s="5"/>
      <c r="H16" t="s">
        <v>15</v>
      </c>
      <c r="I16">
        <f>-2*I12*I6*SIN(RADIANS(I3))-2*(I14-I7*I10)*I6*COS(RADIANS(I3))</f>
        <v>0.10708125589792014</v>
      </c>
    </row>
    <row r="17" spans="1:10" x14ac:dyDescent="0.25">
      <c r="A17" s="4"/>
      <c r="B17" s="1" t="s">
        <v>16</v>
      </c>
      <c r="C17" s="3">
        <f>2*C13*C6*COS(RADIANS(C3))</f>
        <v>7.6297260490207103E-2</v>
      </c>
      <c r="D17" s="5"/>
      <c r="H17" t="s">
        <v>16</v>
      </c>
      <c r="I17">
        <f>2*I13*I6*COS(RADIANS(I3))</f>
        <v>7.6297260490207103E-2</v>
      </c>
    </row>
    <row r="18" spans="1:10" x14ac:dyDescent="0.25">
      <c r="A18" s="4"/>
      <c r="B18" s="1" t="s">
        <v>10</v>
      </c>
      <c r="C18" s="5">
        <f>C13*C6*SIN(RADIANS(C3))*C10^2</f>
        <v>307.42885706468854</v>
      </c>
      <c r="D18" s="5">
        <f>1000*C18/C5</f>
        <v>20.495257137645901</v>
      </c>
      <c r="H18" t="s">
        <v>10</v>
      </c>
      <c r="I18">
        <f>I13*I6*SIN(RADIANS(I3))*I10^2</f>
        <v>307.42885706468854</v>
      </c>
      <c r="J18">
        <f>1000*I18/I5</f>
        <v>20.495257137645901</v>
      </c>
    </row>
    <row r="19" spans="1:10" x14ac:dyDescent="0.25">
      <c r="A19" s="4"/>
      <c r="B19" s="1" t="s">
        <v>11</v>
      </c>
      <c r="C19" s="3">
        <f>-C12*C6*SIN(RADIANS(C3))*C10^2-C14*C6*COS(RADIANS(C3))*C10^2+C7*C6*COS(RADIANS(C3))*(C10^3)/3</f>
        <v>171.4013969406042</v>
      </c>
      <c r="D19" s="5">
        <f>1000*C19/C5</f>
        <v>11.42675979604028</v>
      </c>
      <c r="H19" t="s">
        <v>11</v>
      </c>
      <c r="I19">
        <f>-I12*I6*SIN(RADIANS(I3))*I10^2-I14*I6*COS(RADIANS(I3))*I10^2+I7*I6*COS(RADIANS(I3))*(I10^3)/3</f>
        <v>171.4013969406042</v>
      </c>
      <c r="J19">
        <f>1000*I19/I5</f>
        <v>11.42675979604028</v>
      </c>
    </row>
    <row r="20" spans="1:10" ht="15.75" thickBot="1" x14ac:dyDescent="0.3">
      <c r="A20" s="6"/>
      <c r="B20" s="7" t="s">
        <v>12</v>
      </c>
      <c r="C20" s="8">
        <f>C13*C6*COS(RADIANS(C3))*C10^2</f>
        <v>366.37944487397453</v>
      </c>
      <c r="D20" s="9">
        <f>1000*C20/C5</f>
        <v>24.425296324931637</v>
      </c>
      <c r="H20" t="s">
        <v>12</v>
      </c>
      <c r="I20">
        <f>I13*I6*COS(RADIANS(I3))*I10^2</f>
        <v>366.37944487397453</v>
      </c>
      <c r="J20">
        <f>1000*I20/I5</f>
        <v>24.425296324931637</v>
      </c>
    </row>
  </sheetData>
  <mergeCells count="1">
    <mergeCell ref="A2:D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NIRS frame</vt:lpstr>
      <vt:lpstr>ENU frame</vt:lpstr>
      <vt:lpstr>Final ENU frame</vt:lpstr>
      <vt:lpstr>IFDAM</vt:lpstr>
      <vt:lpstr>'Final ENU frame'!AZ</vt:lpstr>
      <vt:lpstr>AZ</vt:lpstr>
      <vt:lpstr>AZN</vt:lpstr>
      <vt:lpstr>'Final ENU frame'!lambda</vt:lpstr>
      <vt:lpstr>lambda</vt:lpstr>
      <vt:lpstr>lambdaN</vt:lpstr>
      <vt:lpstr>'Final ENU frame'!theta</vt:lpstr>
      <vt:lpstr>theta</vt:lpstr>
      <vt:lpstr>thetaN</vt:lpstr>
      <vt:lpstr>v0x</vt:lpstr>
      <vt:lpstr>v0y</vt:lpstr>
      <vt:lpstr>v0z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</dc:creator>
  <cp:lastModifiedBy>Morris Driels</cp:lastModifiedBy>
  <dcterms:created xsi:type="dcterms:W3CDTF">2023-03-13T18:52:37Z</dcterms:created>
  <dcterms:modified xsi:type="dcterms:W3CDTF">2024-01-27T16:32:33Z</dcterms:modified>
</cp:coreProperties>
</file>